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640"/>
  </bookViews>
  <sheets>
    <sheet name="ФОРМА" sheetId="1" r:id="rId1"/>
  </sheets>
  <definedNames>
    <definedName name="_xlnm.Print_Area" localSheetId="0">ФОРМА!$A$1:$I$69</definedName>
  </definedNames>
  <calcPr calcId="125725"/>
</workbook>
</file>

<file path=xl/calcChain.xml><?xml version="1.0" encoding="utf-8"?>
<calcChain xmlns="http://schemas.openxmlformats.org/spreadsheetml/2006/main">
  <c r="F62" i="1"/>
  <c r="F61"/>
  <c r="D17"/>
  <c r="F45"/>
  <c r="D45"/>
  <c r="D37"/>
  <c r="D36"/>
  <c r="F44"/>
  <c r="D62" l="1"/>
  <c r="D61"/>
  <c r="D44"/>
  <c r="D43"/>
  <c r="I45"/>
  <c r="E42"/>
  <c r="C42"/>
  <c r="D42"/>
  <c r="D41"/>
  <c r="F42"/>
  <c r="D50"/>
  <c r="D49"/>
  <c r="D31"/>
  <c r="I31"/>
  <c r="D22"/>
  <c r="H22"/>
  <c r="F22"/>
  <c r="G22"/>
  <c r="E22"/>
  <c r="C41"/>
  <c r="G41"/>
  <c r="E41"/>
  <c r="H41"/>
  <c r="F41"/>
  <c r="D38"/>
  <c r="H38"/>
  <c r="F38"/>
  <c r="G38"/>
  <c r="E38"/>
  <c r="D33"/>
  <c r="H17"/>
  <c r="F17"/>
  <c r="F20" s="1"/>
  <c r="E47"/>
  <c r="G47"/>
  <c r="F34"/>
  <c r="F47" s="1"/>
  <c r="F37"/>
  <c r="I37" s="1"/>
  <c r="E37"/>
  <c r="F64"/>
  <c r="H34"/>
  <c r="H47" s="1"/>
  <c r="D34"/>
  <c r="D66"/>
  <c r="I66" s="1"/>
  <c r="H64"/>
  <c r="D64"/>
  <c r="I63"/>
  <c r="I62"/>
  <c r="I61"/>
  <c r="H59"/>
  <c r="F59"/>
  <c r="D59"/>
  <c r="I58"/>
  <c r="I57"/>
  <c r="I56"/>
  <c r="I55"/>
  <c r="I54"/>
  <c r="I53"/>
  <c r="I52"/>
  <c r="I51"/>
  <c r="I50"/>
  <c r="I49"/>
  <c r="I46"/>
  <c r="I44"/>
  <c r="I43"/>
  <c r="I41"/>
  <c r="I40"/>
  <c r="I39"/>
  <c r="I38"/>
  <c r="I36"/>
  <c r="I35"/>
  <c r="I33"/>
  <c r="I32"/>
  <c r="I30"/>
  <c r="I29"/>
  <c r="I28"/>
  <c r="I27"/>
  <c r="I26"/>
  <c r="I24"/>
  <c r="I23"/>
  <c r="I22"/>
  <c r="H20"/>
  <c r="D20"/>
  <c r="I19"/>
  <c r="I18"/>
  <c r="I17"/>
  <c r="I16"/>
  <c r="I15"/>
  <c r="I14"/>
  <c r="I13"/>
  <c r="H11"/>
  <c r="F11"/>
  <c r="D11"/>
  <c r="I10"/>
  <c r="I9"/>
  <c r="I8"/>
  <c r="I7"/>
  <c r="D47" l="1"/>
  <c r="D65" s="1"/>
  <c r="I34"/>
  <c r="I42"/>
  <c r="F65"/>
  <c r="I20"/>
  <c r="I11"/>
  <c r="H65"/>
  <c r="I64"/>
  <c r="I59"/>
  <c r="I47" l="1"/>
  <c r="I65" s="1"/>
  <c r="H69"/>
</calcChain>
</file>

<file path=xl/sharedStrings.xml><?xml version="1.0" encoding="utf-8"?>
<sst xmlns="http://schemas.openxmlformats.org/spreadsheetml/2006/main" count="76" uniqueCount="58">
  <si>
    <t>грн.</t>
  </si>
  <si>
    <t>№ з/п</t>
  </si>
  <si>
    <t>Найменування видатків</t>
  </si>
  <si>
    <t xml:space="preserve">Кільк-ть </t>
  </si>
  <si>
    <t>Залишок асигнувань</t>
  </si>
  <si>
    <t>Сума</t>
  </si>
  <si>
    <t>Предмети,матеріали,обладнання та інвентар</t>
  </si>
  <si>
    <t>х</t>
  </si>
  <si>
    <t xml:space="preserve">Всього </t>
  </si>
  <si>
    <t>Оплата послуг</t>
  </si>
  <si>
    <t>Перевезення працівників</t>
  </si>
  <si>
    <t>Облаштування зовнішнього кисневого тубопроводу трубами з нержавіючої сталі</t>
  </si>
  <si>
    <t xml:space="preserve">Облаштування внутрішньої розводки мідними трубами </t>
  </si>
  <si>
    <t>Встановлення кисневих розеток (точок відбору кисню)</t>
  </si>
  <si>
    <t>Встановлення системи автоматизованого обліку медичного кисню</t>
  </si>
  <si>
    <t xml:space="preserve">Ремонт апаратів ШВЛ  </t>
  </si>
  <si>
    <t>Виготовлення проектно-кошторисної документації а монтаж системи киснепостачання</t>
  </si>
  <si>
    <t>Медикаменти</t>
  </si>
  <si>
    <t>Експрес тести 2019- nCoV-2019</t>
  </si>
  <si>
    <t xml:space="preserve">Щитки захисні </t>
  </si>
  <si>
    <t>Швидкі тести (грип)</t>
  </si>
  <si>
    <t>Тест-системи для ІФА досліджень</t>
  </si>
  <si>
    <t>Костюми високого захисту</t>
  </si>
  <si>
    <t>Респіратор FF P2</t>
  </si>
  <si>
    <t>Респіратор FF P3</t>
  </si>
  <si>
    <t>Комплект одягу медичного Лікаря- інфекціоніста №1а стерильний</t>
  </si>
  <si>
    <t>Комплект одягу медичного Лікаря- інфекціоніста №1а нестерильний</t>
  </si>
  <si>
    <t>Костюм біологічного захисту-комбінезон</t>
  </si>
  <si>
    <t>Костюм біологічного захисту багаторазового користування</t>
  </si>
  <si>
    <t>Халат ізоляційний медичний одноразовий</t>
  </si>
  <si>
    <t>Інші засоби індивідуального захисту : в тому числі</t>
  </si>
  <si>
    <t xml:space="preserve">  -   маска медична</t>
  </si>
  <si>
    <t xml:space="preserve">  -   шапочка медична</t>
  </si>
  <si>
    <t xml:space="preserve">  -   бахіли</t>
  </si>
  <si>
    <t xml:space="preserve">  -   рукавички</t>
  </si>
  <si>
    <t xml:space="preserve">  -   фартух медичний</t>
  </si>
  <si>
    <t xml:space="preserve">  -  щиток захисний+ окуляри </t>
  </si>
  <si>
    <t>Медичні вироби</t>
  </si>
  <si>
    <t>Розхідні матеріали</t>
  </si>
  <si>
    <t xml:space="preserve">Антисептичні засоби для рук </t>
  </si>
  <si>
    <t>Дезинфікуючі засоби для приміщень</t>
  </si>
  <si>
    <t>Лікарські засоби для надання медичної допомоги пацієнтам,хворим на COVID-19</t>
  </si>
  <si>
    <t>Резерв</t>
  </si>
  <si>
    <t>Придбання обладнання</t>
  </si>
  <si>
    <t>Оплата праці</t>
  </si>
  <si>
    <t>Заробітна плата</t>
  </si>
  <si>
    <t>Нарахування</t>
  </si>
  <si>
    <t>РАЗОМ ВИДАТКИ,  в тому числі</t>
  </si>
  <si>
    <t>в т.ч.: резерв</t>
  </si>
  <si>
    <t>КНП "ВМКЛ №3"</t>
  </si>
  <si>
    <t>Апарат штучної вентиляції легенів</t>
  </si>
  <si>
    <t>Модуль монітор пацієнта</t>
  </si>
  <si>
    <t>Шприцевий інфузійний насос Р500, одноканальний</t>
  </si>
  <si>
    <t>Дозатор кисню з зволожувачем для назального високопотокового оксигенотерапії</t>
  </si>
  <si>
    <t>Використання коштів по забезпеченню готовності закладів охорони здоров’я для надання медичної допомоги особам, які відповідають визначенню випадку 2019-n CoV станом на  31.12.2021</t>
  </si>
  <si>
    <t>Уточнений план станом на 31.12.2021р.</t>
  </si>
  <si>
    <t>Профінансовано станом на 31.12.2021</t>
  </si>
  <si>
    <t>Касові видатки станом на 31.12.2021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</si>
</sst>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right"/>
    </xf>
    <xf numFmtId="0" fontId="3" fillId="0" borderId="0" xfId="0" applyFont="1"/>
    <xf numFmtId="3" fontId="4" fillId="0" borderId="2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wrapText="1"/>
    </xf>
    <xf numFmtId="3" fontId="6" fillId="0" borderId="2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3" fontId="4" fillId="0" borderId="2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0" xfId="0" applyFont="1" applyFill="1"/>
    <xf numFmtId="3" fontId="6" fillId="0" borderId="2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3" fontId="6" fillId="3" borderId="6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right"/>
    </xf>
    <xf numFmtId="14" fontId="4" fillId="0" borderId="0" xfId="0" applyNumberFormat="1" applyFont="1"/>
    <xf numFmtId="0" fontId="4" fillId="4" borderId="2" xfId="0" applyFont="1" applyFill="1" applyBorder="1" applyAlignment="1">
      <alignment horizontal="left" wrapText="1"/>
    </xf>
    <xf numFmtId="3" fontId="4" fillId="4" borderId="2" xfId="0" applyNumberFormat="1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vertical="center"/>
    </xf>
    <xf numFmtId="0" fontId="4" fillId="4" borderId="0" xfId="0" applyFont="1" applyFill="1"/>
    <xf numFmtId="0" fontId="8" fillId="3" borderId="2" xfId="0" applyFont="1" applyFill="1" applyBorder="1" applyAlignment="1">
      <alignment horizontal="left" wrapText="1"/>
    </xf>
    <xf numFmtId="3" fontId="8" fillId="0" borderId="2" xfId="0" applyNumberFormat="1" applyFont="1" applyBorder="1" applyAlignment="1">
      <alignment horizontal="center" wrapText="1"/>
    </xf>
    <xf numFmtId="3" fontId="8" fillId="0" borderId="6" xfId="0" applyNumberFormat="1" applyFont="1" applyBorder="1" applyAlignment="1">
      <alignment horizontal="center"/>
    </xf>
    <xf numFmtId="3" fontId="4" fillId="0" borderId="0" xfId="0" applyNumberFormat="1" applyFont="1"/>
    <xf numFmtId="3" fontId="8" fillId="0" borderId="8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/>
    </xf>
    <xf numFmtId="3" fontId="6" fillId="3" borderId="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4" fillId="0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vertical="center"/>
    </xf>
    <xf numFmtId="0" fontId="4" fillId="3" borderId="0" xfId="0" applyFont="1" applyFill="1"/>
    <xf numFmtId="0" fontId="6" fillId="3" borderId="2" xfId="0" applyFont="1" applyFill="1" applyBorder="1" applyAlignment="1">
      <alignment horizontal="left" wrapText="1"/>
    </xf>
    <xf numFmtId="3" fontId="4" fillId="3" borderId="2" xfId="0" applyNumberFormat="1" applyFont="1" applyFill="1" applyBorder="1" applyAlignment="1">
      <alignment horizontal="right" wrapText="1"/>
    </xf>
    <xf numFmtId="3" fontId="6" fillId="3" borderId="5" xfId="0" applyNumberFormat="1" applyFont="1" applyFill="1" applyBorder="1" applyAlignment="1">
      <alignment horizontal="right" wrapText="1"/>
    </xf>
    <xf numFmtId="3" fontId="4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4" fontId="3" fillId="2" borderId="2" xfId="0" applyNumberFormat="1" applyFont="1" applyFill="1" applyBorder="1" applyAlignment="1"/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/>
    <xf numFmtId="3" fontId="3" fillId="0" borderId="2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3" fontId="8" fillId="0" borderId="2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vertical="center"/>
    </xf>
    <xf numFmtId="0" fontId="8" fillId="0" borderId="0" xfId="0" applyFont="1"/>
    <xf numFmtId="3" fontId="6" fillId="3" borderId="2" xfId="0" applyNumberFormat="1" applyFont="1" applyFill="1" applyBorder="1" applyAlignment="1">
      <alignment horizontal="right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2" fillId="0" borderId="0" xfId="0" applyNumberFormat="1" applyFont="1"/>
    <xf numFmtId="3" fontId="4" fillId="5" borderId="6" xfId="0" applyNumberFormat="1" applyFont="1" applyFill="1" applyBorder="1" applyAlignment="1">
      <alignment horizontal="right"/>
    </xf>
    <xf numFmtId="1" fontId="4" fillId="0" borderId="2" xfId="0" applyNumberFormat="1" applyFont="1" applyBorder="1" applyAlignment="1">
      <alignment horizontal="center"/>
    </xf>
    <xf numFmtId="3" fontId="6" fillId="5" borderId="2" xfId="0" applyNumberFormat="1" applyFont="1" applyFill="1" applyBorder="1" applyAlignment="1">
      <alignment horizontal="center" wrapText="1"/>
    </xf>
    <xf numFmtId="3" fontId="6" fillId="5" borderId="6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right"/>
    </xf>
    <xf numFmtId="2" fontId="4" fillId="5" borderId="8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M69"/>
  <sheetViews>
    <sheetView tabSelected="1" view="pageBreakPreview" topLeftCell="A10" zoomScale="75" zoomScaleNormal="100" zoomScaleSheetLayoutView="75" workbookViewId="0">
      <selection activeCell="G5" sqref="G5"/>
    </sheetView>
  </sheetViews>
  <sheetFormatPr defaultRowHeight="12.75"/>
  <cols>
    <col min="1" max="1" width="5.42578125" style="2" customWidth="1"/>
    <col min="2" max="2" width="60.140625" style="2" customWidth="1"/>
    <col min="3" max="3" width="17.28515625" style="2" customWidth="1"/>
    <col min="4" max="4" width="18.140625" style="6" customWidth="1"/>
    <col min="5" max="5" width="17.7109375" style="2" customWidth="1"/>
    <col min="6" max="6" width="20.140625" style="6" customWidth="1"/>
    <col min="7" max="7" width="16" style="2" customWidth="1"/>
    <col min="8" max="8" width="22.28515625" style="2" customWidth="1"/>
    <col min="9" max="9" width="19.85546875" style="2" customWidth="1"/>
    <col min="10" max="10" width="9.140625" style="2"/>
    <col min="11" max="11" width="9.28515625" style="2" bestFit="1" customWidth="1"/>
    <col min="12" max="12" width="9.140625" style="2"/>
    <col min="13" max="13" width="10" style="2" bestFit="1" customWidth="1"/>
    <col min="14" max="16384" width="9.140625" style="2"/>
  </cols>
  <sheetData>
    <row r="1" spans="1:9" ht="56.25" customHeight="1">
      <c r="A1" s="125" t="s">
        <v>54</v>
      </c>
      <c r="B1" s="125"/>
      <c r="C1" s="125"/>
      <c r="D1" s="125"/>
      <c r="E1" s="125"/>
      <c r="F1" s="125"/>
      <c r="G1" s="125"/>
      <c r="H1" s="125"/>
    </row>
    <row r="2" spans="1:9" ht="31.5" customHeight="1">
      <c r="A2" s="1"/>
      <c r="B2" s="1"/>
      <c r="C2" s="125" t="s">
        <v>49</v>
      </c>
      <c r="D2" s="125"/>
      <c r="E2" s="125"/>
      <c r="F2" s="125"/>
      <c r="G2" s="1"/>
      <c r="H2" s="1"/>
    </row>
    <row r="3" spans="1:9" ht="12" customHeight="1">
      <c r="A3" s="3"/>
      <c r="B3" s="3"/>
      <c r="C3" s="3"/>
      <c r="D3" s="4"/>
      <c r="E3" s="5"/>
      <c r="F3" s="2"/>
      <c r="H3" s="6" t="s">
        <v>0</v>
      </c>
    </row>
    <row r="4" spans="1:9" s="7" customFormat="1" ht="40.5" customHeight="1">
      <c r="A4" s="126" t="s">
        <v>1</v>
      </c>
      <c r="B4" s="127" t="s">
        <v>2</v>
      </c>
      <c r="C4" s="126" t="s">
        <v>3</v>
      </c>
      <c r="D4" s="129" t="s">
        <v>55</v>
      </c>
      <c r="E4" s="131" t="s">
        <v>56</v>
      </c>
      <c r="F4" s="131"/>
      <c r="G4" s="132" t="s">
        <v>57</v>
      </c>
      <c r="H4" s="133"/>
      <c r="I4" s="113" t="s">
        <v>4</v>
      </c>
    </row>
    <row r="5" spans="1:9" s="8" customFormat="1" ht="21.75" customHeight="1">
      <c r="A5" s="126"/>
      <c r="B5" s="128"/>
      <c r="C5" s="126"/>
      <c r="D5" s="130"/>
      <c r="E5" s="115" t="s">
        <v>3</v>
      </c>
      <c r="F5" s="116" t="s">
        <v>5</v>
      </c>
      <c r="G5" s="115" t="s">
        <v>3</v>
      </c>
      <c r="H5" s="114" t="s">
        <v>5</v>
      </c>
      <c r="I5" s="114" t="s">
        <v>5</v>
      </c>
    </row>
    <row r="6" spans="1:9" s="16" customFormat="1" ht="18" customHeight="1">
      <c r="A6" s="9"/>
      <c r="B6" s="10" t="s">
        <v>6</v>
      </c>
      <c r="C6" s="9"/>
      <c r="D6" s="11"/>
      <c r="E6" s="12"/>
      <c r="F6" s="13"/>
      <c r="G6" s="12"/>
      <c r="H6" s="14"/>
      <c r="I6" s="15"/>
    </row>
    <row r="7" spans="1:9" s="16" customFormat="1" ht="18.75">
      <c r="A7" s="17">
        <v>1</v>
      </c>
      <c r="B7" s="18"/>
      <c r="C7" s="9" t="s">
        <v>7</v>
      </c>
      <c r="D7" s="11"/>
      <c r="E7" s="12"/>
      <c r="F7" s="13"/>
      <c r="G7" s="12"/>
      <c r="H7" s="14"/>
      <c r="I7" s="19">
        <f>D7-F7</f>
        <v>0</v>
      </c>
    </row>
    <row r="8" spans="1:9" s="16" customFormat="1" ht="18.75">
      <c r="A8" s="17">
        <v>2</v>
      </c>
      <c r="B8" s="18"/>
      <c r="C8" s="9"/>
      <c r="D8" s="11"/>
      <c r="E8" s="9"/>
      <c r="F8" s="11"/>
      <c r="G8" s="12"/>
      <c r="H8" s="14"/>
      <c r="I8" s="19">
        <f t="shared" ref="I8:I10" si="0">D8-F8</f>
        <v>0</v>
      </c>
    </row>
    <row r="9" spans="1:9" s="16" customFormat="1" ht="18.75">
      <c r="A9" s="17">
        <v>3</v>
      </c>
      <c r="B9" s="18"/>
      <c r="C9" s="9"/>
      <c r="D9" s="11"/>
      <c r="E9" s="9"/>
      <c r="F9" s="11"/>
      <c r="G9" s="12"/>
      <c r="H9" s="14"/>
      <c r="I9" s="19">
        <f t="shared" si="0"/>
        <v>0</v>
      </c>
    </row>
    <row r="10" spans="1:9" s="16" customFormat="1" ht="18.75">
      <c r="A10" s="17">
        <v>4</v>
      </c>
      <c r="B10" s="18"/>
      <c r="C10" s="9"/>
      <c r="D10" s="11"/>
      <c r="E10" s="9"/>
      <c r="F10" s="11"/>
      <c r="G10" s="12"/>
      <c r="H10" s="14"/>
      <c r="I10" s="19">
        <f t="shared" si="0"/>
        <v>0</v>
      </c>
    </row>
    <row r="11" spans="1:9" s="24" customFormat="1" ht="18.95" customHeight="1">
      <c r="A11" s="20"/>
      <c r="B11" s="21" t="s">
        <v>8</v>
      </c>
      <c r="C11" s="22"/>
      <c r="D11" s="23">
        <f>SUM(D7:D10)</f>
        <v>0</v>
      </c>
      <c r="E11" s="22"/>
      <c r="F11" s="23">
        <f>SUM(F7:F10)</f>
        <v>0</v>
      </c>
      <c r="G11" s="22"/>
      <c r="H11" s="23">
        <f>SUM(H7:H10)</f>
        <v>0</v>
      </c>
      <c r="I11" s="23">
        <f>SUM(I7:I10)</f>
        <v>0</v>
      </c>
    </row>
    <row r="12" spans="1:9" s="16" customFormat="1" ht="18" customHeight="1">
      <c r="A12" s="17"/>
      <c r="B12" s="10" t="s">
        <v>9</v>
      </c>
      <c r="C12" s="9"/>
      <c r="D12" s="11"/>
      <c r="E12" s="12"/>
      <c r="F12" s="13"/>
      <c r="G12" s="12"/>
      <c r="H12" s="14"/>
      <c r="I12" s="15"/>
    </row>
    <row r="13" spans="1:9" s="16" customFormat="1" ht="18" customHeight="1">
      <c r="A13" s="17">
        <v>17</v>
      </c>
      <c r="B13" s="18" t="s">
        <v>10</v>
      </c>
      <c r="C13" s="9"/>
      <c r="D13" s="25"/>
      <c r="E13" s="12"/>
      <c r="F13" s="26"/>
      <c r="G13" s="27"/>
      <c r="H13" s="28"/>
      <c r="I13" s="29">
        <f t="shared" ref="I13:I19" si="1">D13-F13</f>
        <v>0</v>
      </c>
    </row>
    <row r="14" spans="1:9" s="16" customFormat="1" ht="37.5">
      <c r="A14" s="17">
        <v>18</v>
      </c>
      <c r="B14" s="30" t="s">
        <v>11</v>
      </c>
      <c r="C14" s="9"/>
      <c r="D14" s="31"/>
      <c r="E14" s="12"/>
      <c r="F14" s="32"/>
      <c r="G14" s="12"/>
      <c r="H14" s="33"/>
      <c r="I14" s="19">
        <f t="shared" si="1"/>
        <v>0</v>
      </c>
    </row>
    <row r="15" spans="1:9" s="16" customFormat="1" ht="18" customHeight="1">
      <c r="A15" s="17">
        <v>19</v>
      </c>
      <c r="B15" s="34" t="s">
        <v>12</v>
      </c>
      <c r="C15" s="9"/>
      <c r="D15" s="31"/>
      <c r="E15" s="12"/>
      <c r="F15" s="32"/>
      <c r="G15" s="12"/>
      <c r="H15" s="33"/>
      <c r="I15" s="19">
        <f t="shared" si="1"/>
        <v>0</v>
      </c>
    </row>
    <row r="16" spans="1:9" s="16" customFormat="1" ht="18" customHeight="1">
      <c r="A16" s="17">
        <v>20</v>
      </c>
      <c r="B16" s="34" t="s">
        <v>13</v>
      </c>
      <c r="C16" s="9"/>
      <c r="D16" s="31"/>
      <c r="E16" s="12"/>
      <c r="F16" s="32"/>
      <c r="G16" s="12"/>
      <c r="H16" s="33"/>
      <c r="I16" s="19">
        <f t="shared" si="1"/>
        <v>0</v>
      </c>
    </row>
    <row r="17" spans="1:10" s="7" customFormat="1" ht="37.5">
      <c r="A17" s="17">
        <v>21</v>
      </c>
      <c r="B17" s="35" t="s">
        <v>14</v>
      </c>
      <c r="C17" s="36"/>
      <c r="D17" s="37">
        <f>417616-173499-179593</f>
        <v>64524</v>
      </c>
      <c r="E17" s="36">
        <v>1</v>
      </c>
      <c r="F17" s="37">
        <f>38340+26184</f>
        <v>64524</v>
      </c>
      <c r="G17" s="36">
        <v>1</v>
      </c>
      <c r="H17" s="38">
        <f>38340+26184</f>
        <v>64524</v>
      </c>
      <c r="I17" s="119">
        <f t="shared" si="1"/>
        <v>0</v>
      </c>
    </row>
    <row r="18" spans="1:10" s="7" customFormat="1" ht="18.95" customHeight="1">
      <c r="A18" s="17">
        <v>22</v>
      </c>
      <c r="B18" s="39" t="s">
        <v>15</v>
      </c>
      <c r="C18" s="40"/>
      <c r="D18" s="37"/>
      <c r="E18" s="40"/>
      <c r="F18" s="41"/>
      <c r="G18" s="40"/>
      <c r="H18" s="42"/>
      <c r="I18" s="19">
        <f t="shared" si="1"/>
        <v>0</v>
      </c>
    </row>
    <row r="19" spans="1:10" s="7" customFormat="1" ht="37.5" customHeight="1">
      <c r="A19" s="17">
        <v>23</v>
      </c>
      <c r="B19" s="39" t="s">
        <v>16</v>
      </c>
      <c r="C19" s="40"/>
      <c r="D19" s="37"/>
      <c r="E19" s="40"/>
      <c r="F19" s="41"/>
      <c r="G19" s="40"/>
      <c r="H19" s="42"/>
      <c r="I19" s="19">
        <f t="shared" si="1"/>
        <v>0</v>
      </c>
    </row>
    <row r="20" spans="1:10" s="24" customFormat="1" ht="18.95" customHeight="1">
      <c r="A20" s="20"/>
      <c r="B20" s="21" t="s">
        <v>8</v>
      </c>
      <c r="C20" s="22"/>
      <c r="D20" s="23">
        <f>SUM(D13:D19)</f>
        <v>64524</v>
      </c>
      <c r="E20" s="22"/>
      <c r="F20" s="23">
        <f>SUM(F13:F19)</f>
        <v>64524</v>
      </c>
      <c r="G20" s="22"/>
      <c r="H20" s="23">
        <f>SUM(H13:H19)</f>
        <v>64524</v>
      </c>
      <c r="I20" s="23">
        <f>SUM(I13:I19)</f>
        <v>0</v>
      </c>
    </row>
    <row r="21" spans="1:10" s="49" customFormat="1" ht="18.95" customHeight="1">
      <c r="A21" s="17"/>
      <c r="B21" s="43" t="s">
        <v>17</v>
      </c>
      <c r="C21" s="44"/>
      <c r="D21" s="45"/>
      <c r="E21" s="44"/>
      <c r="F21" s="46"/>
      <c r="G21" s="44"/>
      <c r="H21" s="47"/>
      <c r="I21" s="48"/>
    </row>
    <row r="22" spans="1:10" s="7" customFormat="1" ht="18.75">
      <c r="A22" s="17">
        <v>24</v>
      </c>
      <c r="B22" s="39" t="s">
        <v>18</v>
      </c>
      <c r="C22" s="51">
        <v>350</v>
      </c>
      <c r="D22" s="50">
        <f>67037+12842+14621</f>
        <v>94500</v>
      </c>
      <c r="E22" s="50">
        <f>20+10</f>
        <v>30</v>
      </c>
      <c r="F22" s="52">
        <f>63000+31500</f>
        <v>94500</v>
      </c>
      <c r="G22" s="50">
        <f>20+10</f>
        <v>30</v>
      </c>
      <c r="H22" s="53">
        <f>63000+31500</f>
        <v>94500</v>
      </c>
      <c r="I22" s="19">
        <f t="shared" ref="I22:I46" si="2">D22-F22</f>
        <v>0</v>
      </c>
    </row>
    <row r="23" spans="1:10" s="7" customFormat="1" ht="18" customHeight="1">
      <c r="A23" s="17">
        <v>25</v>
      </c>
      <c r="B23" s="39" t="s">
        <v>19</v>
      </c>
      <c r="C23" s="51"/>
      <c r="D23" s="50"/>
      <c r="E23" s="50"/>
      <c r="F23" s="52"/>
      <c r="G23" s="50"/>
      <c r="H23" s="53"/>
      <c r="I23" s="19">
        <f t="shared" si="2"/>
        <v>0</v>
      </c>
    </row>
    <row r="24" spans="1:10" s="7" customFormat="1" ht="18" customHeight="1">
      <c r="A24" s="17">
        <v>26</v>
      </c>
      <c r="B24" s="39" t="s">
        <v>20</v>
      </c>
      <c r="C24" s="51"/>
      <c r="D24" s="50"/>
      <c r="E24" s="50"/>
      <c r="F24" s="52"/>
      <c r="G24" s="50"/>
      <c r="H24" s="53"/>
      <c r="I24" s="19">
        <f t="shared" si="2"/>
        <v>0</v>
      </c>
    </row>
    <row r="25" spans="1:10" s="7" customFormat="1" ht="18" customHeight="1">
      <c r="A25" s="17">
        <v>27</v>
      </c>
      <c r="B25" s="39" t="s">
        <v>21</v>
      </c>
      <c r="C25" s="51"/>
      <c r="D25" s="50"/>
      <c r="E25" s="50"/>
      <c r="F25" s="52"/>
      <c r="G25" s="50"/>
      <c r="H25" s="53"/>
      <c r="I25" s="19"/>
    </row>
    <row r="26" spans="1:10" s="7" customFormat="1" ht="18" customHeight="1">
      <c r="A26" s="17">
        <v>28</v>
      </c>
      <c r="B26" s="39" t="s">
        <v>22</v>
      </c>
      <c r="C26" s="51"/>
      <c r="D26" s="54"/>
      <c r="E26" s="54"/>
      <c r="F26" s="52"/>
      <c r="G26" s="55"/>
      <c r="H26" s="53"/>
      <c r="I26" s="19">
        <f t="shared" si="2"/>
        <v>0</v>
      </c>
    </row>
    <row r="27" spans="1:10" s="7" customFormat="1" ht="18" customHeight="1">
      <c r="A27" s="17">
        <v>29</v>
      </c>
      <c r="B27" s="39" t="s">
        <v>23</v>
      </c>
      <c r="C27" s="51"/>
      <c r="D27" s="54"/>
      <c r="E27" s="54"/>
      <c r="F27" s="52"/>
      <c r="G27" s="55"/>
      <c r="H27" s="53"/>
      <c r="I27" s="19">
        <f t="shared" si="2"/>
        <v>0</v>
      </c>
    </row>
    <row r="28" spans="1:10" s="7" customFormat="1" ht="18" customHeight="1">
      <c r="A28" s="17">
        <v>30</v>
      </c>
      <c r="B28" s="39" t="s">
        <v>24</v>
      </c>
      <c r="C28" s="51">
        <v>1700</v>
      </c>
      <c r="D28" s="54">
        <v>39015</v>
      </c>
      <c r="E28" s="54">
        <v>1700</v>
      </c>
      <c r="F28" s="52">
        <v>39015</v>
      </c>
      <c r="G28" s="54">
        <v>1700</v>
      </c>
      <c r="H28" s="52">
        <v>39015</v>
      </c>
      <c r="I28" s="19">
        <f t="shared" si="2"/>
        <v>0</v>
      </c>
    </row>
    <row r="29" spans="1:10" s="7" customFormat="1" ht="37.5">
      <c r="A29" s="17">
        <v>31</v>
      </c>
      <c r="B29" s="39" t="s">
        <v>25</v>
      </c>
      <c r="C29" s="51"/>
      <c r="D29" s="56"/>
      <c r="E29" s="56"/>
      <c r="F29" s="57"/>
      <c r="G29" s="58"/>
      <c r="H29" s="59"/>
      <c r="I29" s="19">
        <f t="shared" si="2"/>
        <v>0</v>
      </c>
    </row>
    <row r="30" spans="1:10" s="7" customFormat="1" ht="37.5">
      <c r="A30" s="17">
        <v>32</v>
      </c>
      <c r="B30" s="39" t="s">
        <v>26</v>
      </c>
      <c r="C30" s="51"/>
      <c r="D30" s="56"/>
      <c r="E30" s="56"/>
      <c r="F30" s="57"/>
      <c r="G30" s="58"/>
      <c r="H30" s="59"/>
      <c r="I30" s="19">
        <f t="shared" si="2"/>
        <v>0</v>
      </c>
      <c r="J30" s="60"/>
    </row>
    <row r="31" spans="1:10" s="7" customFormat="1" ht="18.75">
      <c r="A31" s="17">
        <v>33</v>
      </c>
      <c r="B31" s="39" t="s">
        <v>27</v>
      </c>
      <c r="C31" s="120">
        <v>2000</v>
      </c>
      <c r="D31" s="51">
        <f>14949+21975+27300+175776</f>
        <v>240000</v>
      </c>
      <c r="E31" s="54">
        <v>2000</v>
      </c>
      <c r="F31" s="52">
        <v>240000</v>
      </c>
      <c r="G31" s="55">
        <v>2000</v>
      </c>
      <c r="H31" s="53">
        <v>240000</v>
      </c>
      <c r="I31" s="19">
        <f>D31-F31</f>
        <v>0</v>
      </c>
      <c r="J31" s="60"/>
    </row>
    <row r="32" spans="1:10" s="7" customFormat="1" ht="37.5">
      <c r="A32" s="17">
        <v>34</v>
      </c>
      <c r="B32" s="39" t="s">
        <v>28</v>
      </c>
      <c r="C32" s="50"/>
      <c r="D32" s="51"/>
      <c r="E32" s="54"/>
      <c r="F32" s="52"/>
      <c r="G32" s="55"/>
      <c r="H32" s="53"/>
      <c r="I32" s="19">
        <f t="shared" si="2"/>
        <v>0</v>
      </c>
      <c r="J32" s="60"/>
    </row>
    <row r="33" spans="1:13" s="7" customFormat="1" ht="18.75">
      <c r="A33" s="17">
        <v>35</v>
      </c>
      <c r="B33" s="39" t="s">
        <v>29</v>
      </c>
      <c r="C33" s="50">
        <v>6315</v>
      </c>
      <c r="D33" s="51">
        <f>216975-21975</f>
        <v>195000</v>
      </c>
      <c r="E33" s="54">
        <v>4000</v>
      </c>
      <c r="F33" s="52">
        <v>195000</v>
      </c>
      <c r="G33" s="55">
        <v>4000</v>
      </c>
      <c r="H33" s="53">
        <v>195000</v>
      </c>
      <c r="I33" s="19">
        <f t="shared" si="2"/>
        <v>0</v>
      </c>
      <c r="J33" s="60"/>
    </row>
    <row r="34" spans="1:13" s="68" customFormat="1" ht="26.25" customHeight="1">
      <c r="A34" s="17">
        <v>36</v>
      </c>
      <c r="B34" s="61" t="s">
        <v>30</v>
      </c>
      <c r="C34" s="62"/>
      <c r="D34" s="63">
        <f>SUM(D35:D39)</f>
        <v>313030</v>
      </c>
      <c r="E34" s="64"/>
      <c r="F34" s="65">
        <f>SUM(F35:F40)</f>
        <v>313030</v>
      </c>
      <c r="G34" s="66"/>
      <c r="H34" s="65">
        <f>SUM(H35:H40)</f>
        <v>313030</v>
      </c>
      <c r="I34" s="67">
        <f t="shared" si="2"/>
        <v>0</v>
      </c>
    </row>
    <row r="35" spans="1:13" s="7" customFormat="1" ht="18.75">
      <c r="A35" s="17"/>
      <c r="B35" s="69" t="s">
        <v>31</v>
      </c>
      <c r="C35" s="71"/>
      <c r="D35" s="70"/>
      <c r="E35" s="70"/>
      <c r="F35" s="71"/>
      <c r="G35" s="70"/>
      <c r="H35" s="71"/>
      <c r="I35" s="19">
        <f t="shared" si="2"/>
        <v>0</v>
      </c>
      <c r="L35" s="72"/>
      <c r="M35" s="72"/>
    </row>
    <row r="36" spans="1:13" s="7" customFormat="1" ht="18.75">
      <c r="A36" s="17"/>
      <c r="B36" s="69" t="s">
        <v>32</v>
      </c>
      <c r="C36" s="71">
        <v>4401</v>
      </c>
      <c r="D36" s="70">
        <f>10003-8503</f>
        <v>1500</v>
      </c>
      <c r="E36" s="70">
        <v>1000</v>
      </c>
      <c r="F36" s="71">
        <v>1500</v>
      </c>
      <c r="G36" s="70">
        <v>1000</v>
      </c>
      <c r="H36" s="71">
        <v>1500</v>
      </c>
      <c r="I36" s="19">
        <f t="shared" si="2"/>
        <v>0</v>
      </c>
      <c r="L36" s="72"/>
      <c r="M36" s="72"/>
    </row>
    <row r="37" spans="1:13" s="7" customFormat="1" ht="18.75">
      <c r="A37" s="17"/>
      <c r="B37" s="69" t="s">
        <v>33</v>
      </c>
      <c r="C37" s="71">
        <v>17286</v>
      </c>
      <c r="D37" s="70">
        <f>113040-58246-14621-307-916</f>
        <v>38950</v>
      </c>
      <c r="E37" s="70">
        <f>2000+3000</f>
        <v>5000</v>
      </c>
      <c r="F37" s="71">
        <f>950+17000+21000</f>
        <v>38950</v>
      </c>
      <c r="G37" s="70">
        <v>5000</v>
      </c>
      <c r="H37" s="71">
        <v>38950</v>
      </c>
      <c r="I37" s="19">
        <f t="shared" si="2"/>
        <v>0</v>
      </c>
      <c r="L37" s="72"/>
      <c r="M37" s="72"/>
    </row>
    <row r="38" spans="1:13" s="7" customFormat="1" ht="18.75">
      <c r="A38" s="17"/>
      <c r="B38" s="69" t="s">
        <v>34</v>
      </c>
      <c r="C38" s="71">
        <v>38289</v>
      </c>
      <c r="D38" s="70">
        <f>214334+58246</f>
        <v>272580</v>
      </c>
      <c r="E38" s="70">
        <f>5000+4000+600+100+3200+10000+2000+8000</f>
        <v>32900</v>
      </c>
      <c r="F38" s="71">
        <f>37500+30160+5736+70500+25734+27950+15000+60000</f>
        <v>272580</v>
      </c>
      <c r="G38" s="70">
        <f>22900+2000+8000</f>
        <v>32900</v>
      </c>
      <c r="H38" s="71">
        <f>197580+15000+60000</f>
        <v>272580</v>
      </c>
      <c r="I38" s="19">
        <f t="shared" si="2"/>
        <v>0</v>
      </c>
      <c r="L38" s="72"/>
      <c r="M38" s="72"/>
    </row>
    <row r="39" spans="1:13" s="7" customFormat="1" ht="18.75">
      <c r="A39" s="17"/>
      <c r="B39" s="69" t="s">
        <v>35</v>
      </c>
      <c r="C39" s="71"/>
      <c r="D39" s="70"/>
      <c r="E39" s="70"/>
      <c r="F39" s="71"/>
      <c r="G39" s="70"/>
      <c r="H39" s="71"/>
      <c r="I39" s="19">
        <f t="shared" si="2"/>
        <v>0</v>
      </c>
      <c r="L39" s="72"/>
      <c r="M39" s="72"/>
    </row>
    <row r="40" spans="1:13" s="7" customFormat="1" ht="18.75">
      <c r="A40" s="17"/>
      <c r="B40" s="69" t="s">
        <v>36</v>
      </c>
      <c r="C40" s="71"/>
      <c r="D40" s="70"/>
      <c r="E40" s="70"/>
      <c r="F40" s="71"/>
      <c r="G40" s="70"/>
      <c r="H40" s="73"/>
      <c r="I40" s="19">
        <f t="shared" si="2"/>
        <v>0</v>
      </c>
      <c r="L40" s="72"/>
      <c r="M40" s="72"/>
    </row>
    <row r="41" spans="1:13" s="7" customFormat="1" ht="18.75">
      <c r="A41" s="17">
        <v>37</v>
      </c>
      <c r="B41" s="39" t="s">
        <v>37</v>
      </c>
      <c r="C41" s="75">
        <f>15080+826</f>
        <v>15906</v>
      </c>
      <c r="D41" s="36">
        <f>70200-24573</f>
        <v>45627</v>
      </c>
      <c r="E41" s="36">
        <f>7200+7700+1006</f>
        <v>15906</v>
      </c>
      <c r="F41" s="41">
        <f>41621+4006</f>
        <v>45627</v>
      </c>
      <c r="G41" s="40">
        <f>14900+1006</f>
        <v>15906</v>
      </c>
      <c r="H41" s="42">
        <f>41621+4006</f>
        <v>45627</v>
      </c>
      <c r="I41" s="19">
        <f t="shared" si="2"/>
        <v>0</v>
      </c>
    </row>
    <row r="42" spans="1:13" s="7" customFormat="1" ht="18.75">
      <c r="A42" s="17">
        <v>38</v>
      </c>
      <c r="B42" s="39" t="s">
        <v>38</v>
      </c>
      <c r="C42" s="75">
        <f>18745</f>
        <v>18745</v>
      </c>
      <c r="D42" s="36">
        <f>76696+20248+24573+307</f>
        <v>121824</v>
      </c>
      <c r="E42" s="36">
        <f>1500+145+200+10800+1000+1100+4000</f>
        <v>18745</v>
      </c>
      <c r="F42" s="41">
        <f>59230+1500+204+4246+1010+30754+24880</f>
        <v>121824</v>
      </c>
      <c r="G42" s="40">
        <v>18745</v>
      </c>
      <c r="H42" s="42">
        <v>121824</v>
      </c>
      <c r="I42" s="19">
        <f t="shared" si="2"/>
        <v>0</v>
      </c>
    </row>
    <row r="43" spans="1:13" s="7" customFormat="1" ht="18.75">
      <c r="A43" s="17">
        <v>39</v>
      </c>
      <c r="B43" s="39" t="s">
        <v>39</v>
      </c>
      <c r="C43" s="75"/>
      <c r="D43" s="36">
        <f>271605-140471-32681-98453</f>
        <v>0</v>
      </c>
      <c r="E43" s="36"/>
      <c r="F43" s="41"/>
      <c r="G43" s="40"/>
      <c r="H43" s="42"/>
      <c r="I43" s="19">
        <f t="shared" si="2"/>
        <v>0</v>
      </c>
    </row>
    <row r="44" spans="1:13" s="7" customFormat="1" ht="18.75">
      <c r="A44" s="17">
        <v>40</v>
      </c>
      <c r="B44" s="39" t="s">
        <v>40</v>
      </c>
      <c r="C44" s="75">
        <v>2000</v>
      </c>
      <c r="D44" s="36">
        <f>480056-375806+59480-48296</f>
        <v>115434</v>
      </c>
      <c r="E44" s="36">
        <v>255</v>
      </c>
      <c r="F44" s="41">
        <f>104250+11184</f>
        <v>115434</v>
      </c>
      <c r="G44" s="40">
        <v>255</v>
      </c>
      <c r="H44" s="42">
        <v>115434</v>
      </c>
      <c r="I44" s="19">
        <f t="shared" si="2"/>
        <v>0</v>
      </c>
    </row>
    <row r="45" spans="1:13" s="7" customFormat="1" ht="37.5">
      <c r="A45" s="17">
        <v>41</v>
      </c>
      <c r="B45" s="39" t="s">
        <v>41</v>
      </c>
      <c r="C45" s="74">
        <v>1000</v>
      </c>
      <c r="D45" s="76">
        <f>1159000+84000+1162435+20271+3000000+4900+375806+60630+281464+140471+500000+298000-575+146749+2000000+791231+8503+916</f>
        <v>10033801</v>
      </c>
      <c r="E45" s="36">
        <v>1000</v>
      </c>
      <c r="F45" s="118">
        <f>14700+739029+480925+4000+8892+9630+18900+9865+854000+285765+1173010+31704+2236622+421935+59480+472807+411887+1647000+353000+791231+9419</f>
        <v>10033801</v>
      </c>
      <c r="G45" s="77">
        <v>1000</v>
      </c>
      <c r="H45" s="78">
        <v>10033801</v>
      </c>
      <c r="I45" s="19">
        <f>D45-F45</f>
        <v>0</v>
      </c>
      <c r="J45" s="60"/>
    </row>
    <row r="46" spans="1:13" s="7" customFormat="1" ht="18" customHeight="1">
      <c r="A46" s="17">
        <v>42</v>
      </c>
      <c r="B46" s="39" t="s">
        <v>42</v>
      </c>
      <c r="C46" s="36"/>
      <c r="D46" s="121"/>
      <c r="E46" s="122"/>
      <c r="F46" s="123"/>
      <c r="G46" s="122"/>
      <c r="H46" s="124"/>
      <c r="I46" s="19">
        <f t="shared" si="2"/>
        <v>0</v>
      </c>
    </row>
    <row r="47" spans="1:13" s="7" customFormat="1" ht="26.25" customHeight="1">
      <c r="A47" s="20"/>
      <c r="B47" s="21" t="s">
        <v>8</v>
      </c>
      <c r="C47" s="79"/>
      <c r="D47" s="80">
        <f>SUM(D22:D34)+D41+D42+D43+D44+D45+D46</f>
        <v>11198231</v>
      </c>
      <c r="E47" s="80">
        <f t="shared" ref="E47:I47" si="3">SUM(E22:E34)+E41+E42+E43+E44+E45+E46</f>
        <v>43636</v>
      </c>
      <c r="F47" s="80">
        <f t="shared" si="3"/>
        <v>11198231</v>
      </c>
      <c r="G47" s="80">
        <f t="shared" si="3"/>
        <v>43636</v>
      </c>
      <c r="H47" s="80">
        <f t="shared" si="3"/>
        <v>11198231</v>
      </c>
      <c r="I47" s="80">
        <f t="shared" si="3"/>
        <v>0</v>
      </c>
    </row>
    <row r="48" spans="1:13" s="86" customFormat="1" ht="24.95" customHeight="1">
      <c r="A48" s="17"/>
      <c r="B48" s="43" t="s">
        <v>43</v>
      </c>
      <c r="C48" s="81"/>
      <c r="D48" s="82"/>
      <c r="E48" s="81"/>
      <c r="F48" s="83"/>
      <c r="G48" s="81"/>
      <c r="H48" s="84"/>
      <c r="I48" s="85"/>
    </row>
    <row r="49" spans="1:11" s="91" customFormat="1" ht="18.75">
      <c r="A49" s="87">
        <v>43</v>
      </c>
      <c r="B49" s="88" t="s">
        <v>50</v>
      </c>
      <c r="C49" s="89">
        <v>7</v>
      </c>
      <c r="D49" s="93">
        <f>2385000+3180000</f>
        <v>5565000</v>
      </c>
      <c r="E49" s="89">
        <v>7</v>
      </c>
      <c r="F49" s="93">
        <v>5565000</v>
      </c>
      <c r="G49" s="89">
        <v>7</v>
      </c>
      <c r="H49" s="93">
        <v>5565000</v>
      </c>
      <c r="I49" s="90">
        <f t="shared" ref="I49:I58" si="4">D49-F49</f>
        <v>0</v>
      </c>
    </row>
    <row r="50" spans="1:11" s="91" customFormat="1" ht="18.75">
      <c r="A50" s="87">
        <v>44</v>
      </c>
      <c r="B50" s="88" t="s">
        <v>51</v>
      </c>
      <c r="C50" s="89">
        <v>7</v>
      </c>
      <c r="D50" s="93">
        <f>237000+318000</f>
        <v>555000</v>
      </c>
      <c r="E50" s="89">
        <v>7</v>
      </c>
      <c r="F50" s="93">
        <v>555000</v>
      </c>
      <c r="G50" s="89">
        <v>7</v>
      </c>
      <c r="H50" s="93">
        <v>555000</v>
      </c>
      <c r="I50" s="90">
        <f t="shared" si="4"/>
        <v>0</v>
      </c>
    </row>
    <row r="51" spans="1:11" s="91" customFormat="1" ht="18" customHeight="1">
      <c r="A51" s="87">
        <v>45</v>
      </c>
      <c r="B51" s="92" t="s">
        <v>52</v>
      </c>
      <c r="C51" s="56">
        <v>12</v>
      </c>
      <c r="D51" s="93">
        <v>378000</v>
      </c>
      <c r="E51" s="89">
        <v>12</v>
      </c>
      <c r="F51" s="112">
        <v>378000</v>
      </c>
      <c r="G51" s="89">
        <v>12</v>
      </c>
      <c r="H51" s="112">
        <v>378000</v>
      </c>
      <c r="I51" s="90">
        <f t="shared" si="4"/>
        <v>0</v>
      </c>
    </row>
    <row r="52" spans="1:11" s="91" customFormat="1" ht="38.25" customHeight="1">
      <c r="A52" s="87">
        <v>46</v>
      </c>
      <c r="B52" s="92" t="s">
        <v>53</v>
      </c>
      <c r="C52" s="56">
        <v>2</v>
      </c>
      <c r="D52" s="112">
        <v>350000</v>
      </c>
      <c r="E52" s="89">
        <v>2</v>
      </c>
      <c r="F52" s="112">
        <v>350000</v>
      </c>
      <c r="G52" s="89">
        <v>2</v>
      </c>
      <c r="H52" s="112">
        <v>350000</v>
      </c>
      <c r="I52" s="90">
        <f t="shared" si="4"/>
        <v>0</v>
      </c>
    </row>
    <row r="53" spans="1:11" s="91" customFormat="1" ht="18" customHeight="1">
      <c r="A53" s="87">
        <v>47</v>
      </c>
      <c r="B53" s="92"/>
      <c r="C53" s="89"/>
      <c r="D53" s="93"/>
      <c r="E53" s="89"/>
      <c r="F53" s="112"/>
      <c r="G53" s="89"/>
      <c r="H53" s="94"/>
      <c r="I53" s="90">
        <f t="shared" si="4"/>
        <v>0</v>
      </c>
    </row>
    <row r="54" spans="1:11" s="91" customFormat="1" ht="18" customHeight="1">
      <c r="A54" s="87">
        <v>48</v>
      </c>
      <c r="B54" s="92"/>
      <c r="C54" s="89"/>
      <c r="D54" s="93"/>
      <c r="E54" s="89"/>
      <c r="F54" s="112"/>
      <c r="G54" s="89"/>
      <c r="H54" s="94"/>
      <c r="I54" s="90">
        <f t="shared" si="4"/>
        <v>0</v>
      </c>
    </row>
    <row r="55" spans="1:11" s="91" customFormat="1" ht="18" customHeight="1">
      <c r="A55" s="87">
        <v>49</v>
      </c>
      <c r="B55" s="92"/>
      <c r="C55" s="89"/>
      <c r="D55" s="93"/>
      <c r="E55" s="89"/>
      <c r="F55" s="112"/>
      <c r="G55" s="89"/>
      <c r="H55" s="94"/>
      <c r="I55" s="90">
        <f t="shared" si="4"/>
        <v>0</v>
      </c>
    </row>
    <row r="56" spans="1:11" s="91" customFormat="1" ht="18" customHeight="1">
      <c r="A56" s="87">
        <v>50</v>
      </c>
      <c r="B56" s="92"/>
      <c r="C56" s="89"/>
      <c r="D56" s="93"/>
      <c r="E56" s="89"/>
      <c r="F56" s="112"/>
      <c r="G56" s="89"/>
      <c r="H56" s="94"/>
      <c r="I56" s="90">
        <f t="shared" si="4"/>
        <v>0</v>
      </c>
    </row>
    <row r="57" spans="1:11" s="91" customFormat="1" ht="18" customHeight="1">
      <c r="A57" s="87">
        <v>51</v>
      </c>
      <c r="B57" s="92"/>
      <c r="C57" s="89"/>
      <c r="D57" s="95"/>
      <c r="E57" s="89"/>
      <c r="F57" s="112"/>
      <c r="G57" s="89"/>
      <c r="H57" s="94"/>
      <c r="I57" s="90">
        <f t="shared" si="4"/>
        <v>0</v>
      </c>
    </row>
    <row r="58" spans="1:11" s="91" customFormat="1" ht="18" customHeight="1">
      <c r="A58" s="87">
        <v>52</v>
      </c>
      <c r="B58" s="92"/>
      <c r="C58" s="96"/>
      <c r="D58" s="95"/>
      <c r="E58" s="89"/>
      <c r="F58" s="112"/>
      <c r="G58" s="89"/>
      <c r="H58" s="94"/>
      <c r="I58" s="90">
        <f t="shared" si="4"/>
        <v>0</v>
      </c>
    </row>
    <row r="59" spans="1:11" s="7" customFormat="1" ht="22.5" customHeight="1">
      <c r="A59" s="20"/>
      <c r="B59" s="21" t="s">
        <v>8</v>
      </c>
      <c r="C59" s="97"/>
      <c r="D59" s="23">
        <f>SUM(D49:D58)</f>
        <v>6848000</v>
      </c>
      <c r="E59" s="97"/>
      <c r="F59" s="23">
        <f>SUM(F49:F58)</f>
        <v>6848000</v>
      </c>
      <c r="G59" s="97"/>
      <c r="H59" s="23">
        <f>SUM(H49:H58)</f>
        <v>6848000</v>
      </c>
      <c r="I59" s="98">
        <f>SUM(I49:I58)</f>
        <v>0</v>
      </c>
    </row>
    <row r="60" spans="1:11" s="86" customFormat="1" ht="17.45" customHeight="1">
      <c r="A60" s="17"/>
      <c r="B60" s="43" t="s">
        <v>44</v>
      </c>
      <c r="C60" s="81"/>
      <c r="D60" s="82"/>
      <c r="E60" s="81"/>
      <c r="F60" s="99"/>
      <c r="G60" s="81"/>
      <c r="H60" s="100"/>
      <c r="I60" s="85"/>
    </row>
    <row r="61" spans="1:11" s="7" customFormat="1" ht="18.75">
      <c r="A61" s="17">
        <v>53</v>
      </c>
      <c r="B61" s="39" t="s">
        <v>45</v>
      </c>
      <c r="C61" s="101" t="s">
        <v>7</v>
      </c>
      <c r="D61" s="37">
        <f>4597724-879028+1963250-164036</f>
        <v>5517910</v>
      </c>
      <c r="E61" s="101" t="s">
        <v>7</v>
      </c>
      <c r="F61" s="37">
        <f>855688+910912+943005+903863+105228+1031083+768131</f>
        <v>5517910</v>
      </c>
      <c r="G61" s="101" t="s">
        <v>7</v>
      </c>
      <c r="H61" s="37">
        <v>5517910</v>
      </c>
      <c r="I61" s="19">
        <f>D61-F61</f>
        <v>0</v>
      </c>
    </row>
    <row r="62" spans="1:11" s="7" customFormat="1" ht="18.75">
      <c r="A62" s="17">
        <v>54</v>
      </c>
      <c r="B62" s="39" t="s">
        <v>46</v>
      </c>
      <c r="C62" s="101" t="s">
        <v>7</v>
      </c>
      <c r="D62" s="37">
        <f>971561-192093+399471-31842</f>
        <v>1147097</v>
      </c>
      <c r="E62" s="101" t="s">
        <v>7</v>
      </c>
      <c r="F62" s="37">
        <f>178875+190480+198730+189893+21490+210239+157390</f>
        <v>1147097</v>
      </c>
      <c r="G62" s="101" t="s">
        <v>7</v>
      </c>
      <c r="H62" s="37">
        <v>1147097</v>
      </c>
      <c r="I62" s="19">
        <f>D62-F62</f>
        <v>0</v>
      </c>
    </row>
    <row r="63" spans="1:11" s="7" customFormat="1" ht="18.75">
      <c r="A63" s="17">
        <v>55</v>
      </c>
      <c r="B63" s="39" t="s">
        <v>42</v>
      </c>
      <c r="C63" s="101" t="s">
        <v>7</v>
      </c>
      <c r="D63" s="37"/>
      <c r="E63" s="101" t="s">
        <v>7</v>
      </c>
      <c r="F63" s="37"/>
      <c r="G63" s="101" t="s">
        <v>7</v>
      </c>
      <c r="H63" s="38"/>
      <c r="I63" s="19">
        <f>D63-F63</f>
        <v>0</v>
      </c>
    </row>
    <row r="64" spans="1:11" s="7" customFormat="1" ht="21" customHeight="1">
      <c r="A64" s="20"/>
      <c r="B64" s="21" t="s">
        <v>8</v>
      </c>
      <c r="C64" s="102"/>
      <c r="D64" s="23">
        <f>SUM(D61:D63)</f>
        <v>6665007</v>
      </c>
      <c r="E64" s="102"/>
      <c r="F64" s="23">
        <f>SUM(F61:F63)</f>
        <v>6665007</v>
      </c>
      <c r="G64" s="102"/>
      <c r="H64" s="98">
        <f>SUM(H61:H63)</f>
        <v>6665007</v>
      </c>
      <c r="I64" s="98">
        <f>SUM(I61:I63)</f>
        <v>0</v>
      </c>
      <c r="K64" s="72"/>
    </row>
    <row r="65" spans="1:9" s="7" customFormat="1" ht="32.1" customHeight="1">
      <c r="A65" s="17">
        <v>56</v>
      </c>
      <c r="B65" s="103" t="s">
        <v>47</v>
      </c>
      <c r="C65" s="104"/>
      <c r="D65" s="105">
        <f>D11+D20+D47+D59+D64</f>
        <v>24775762</v>
      </c>
      <c r="E65" s="104"/>
      <c r="F65" s="105">
        <f>F11+F20+F47+F59+F64</f>
        <v>24775762</v>
      </c>
      <c r="G65" s="104"/>
      <c r="H65" s="106">
        <f>H11+H20+H47+H59+H64</f>
        <v>24775762</v>
      </c>
      <c r="I65" s="106">
        <f>I11+I20+I47+I59+I64</f>
        <v>0</v>
      </c>
    </row>
    <row r="66" spans="1:9" s="111" customFormat="1" ht="18.75">
      <c r="A66" s="17">
        <v>57</v>
      </c>
      <c r="B66" s="107" t="s">
        <v>48</v>
      </c>
      <c r="C66" s="107"/>
      <c r="D66" s="108">
        <f>D46+D63</f>
        <v>0</v>
      </c>
      <c r="E66" s="107"/>
      <c r="F66" s="108"/>
      <c r="G66" s="107"/>
      <c r="H66" s="109"/>
      <c r="I66" s="110">
        <f>D66-F66</f>
        <v>0</v>
      </c>
    </row>
    <row r="69" spans="1:9">
      <c r="H69" s="117">
        <f>F65-H65</f>
        <v>0</v>
      </c>
    </row>
  </sheetData>
  <mergeCells count="8">
    <mergeCell ref="A1:H1"/>
    <mergeCell ref="A4:A5"/>
    <mergeCell ref="B4:B5"/>
    <mergeCell ref="C4:C5"/>
    <mergeCell ref="D4:D5"/>
    <mergeCell ref="E4:F4"/>
    <mergeCell ref="G4:H4"/>
    <mergeCell ref="C2:F2"/>
  </mergeCells>
  <printOptions horizontalCentered="1"/>
  <pageMargins left="0" right="0" top="0" bottom="0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ПК-1</dc:creator>
  <cp:lastModifiedBy>Q</cp:lastModifiedBy>
  <cp:lastPrinted>2021-12-31T07:17:40Z</cp:lastPrinted>
  <dcterms:created xsi:type="dcterms:W3CDTF">2021-01-22T07:33:42Z</dcterms:created>
  <dcterms:modified xsi:type="dcterms:W3CDTF">2021-12-31T07:17:59Z</dcterms:modified>
</cp:coreProperties>
</file>